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niel Jimenez\Desktop\CargaExcel\"/>
    </mc:Choice>
  </mc:AlternateContent>
  <xr:revisionPtr revIDLastSave="0" documentId="13_ncr:1_{D5DEA0A5-4CB0-484A-8293-36F4D6F9AB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9" i="1" l="1"/>
  <c r="B78" i="1"/>
  <c r="B77" i="1"/>
  <c r="B76" i="1"/>
  <c r="B75" i="1"/>
  <c r="B74" i="1"/>
  <c r="B73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N56" i="1"/>
  <c r="N5" i="1" s="1"/>
  <c r="M56" i="1"/>
  <c r="L56" i="1"/>
  <c r="K56" i="1"/>
  <c r="K5" i="1" s="1"/>
  <c r="J56" i="1"/>
  <c r="J5" i="1" s="1"/>
  <c r="I56" i="1"/>
  <c r="H56" i="1"/>
  <c r="G56" i="1"/>
  <c r="G5" i="1" s="1"/>
  <c r="F56" i="1"/>
  <c r="F5" i="1" s="1"/>
  <c r="E56" i="1"/>
  <c r="D56" i="1"/>
  <c r="C56" i="1"/>
  <c r="C5" i="1" s="1"/>
  <c r="B56" i="1"/>
  <c r="B5" i="1" s="1"/>
  <c r="B55" i="1"/>
  <c r="B54" i="1"/>
  <c r="B53" i="1"/>
  <c r="E52" i="1"/>
  <c r="B52" i="1" s="1"/>
  <c r="B51" i="1"/>
  <c r="B50" i="1"/>
  <c r="B49" i="1"/>
  <c r="D48" i="1"/>
  <c r="B48" i="1"/>
  <c r="B47" i="1"/>
  <c r="N46" i="1"/>
  <c r="M46" i="1"/>
  <c r="L46" i="1"/>
  <c r="K46" i="1"/>
  <c r="J46" i="1"/>
  <c r="I46" i="1"/>
  <c r="H46" i="1"/>
  <c r="G46" i="1"/>
  <c r="F46" i="1"/>
  <c r="D46" i="1"/>
  <c r="C46" i="1"/>
  <c r="B45" i="1"/>
  <c r="B44" i="1"/>
  <c r="B43" i="1"/>
  <c r="B42" i="1"/>
  <c r="B41" i="1"/>
  <c r="B40" i="1"/>
  <c r="B39" i="1"/>
  <c r="N38" i="1"/>
  <c r="M38" i="1"/>
  <c r="L38" i="1"/>
  <c r="K38" i="1"/>
  <c r="J38" i="1"/>
  <c r="I38" i="1"/>
  <c r="H38" i="1"/>
  <c r="G38" i="1"/>
  <c r="F38" i="1"/>
  <c r="B38" i="1" s="1"/>
  <c r="E38" i="1"/>
  <c r="D38" i="1"/>
  <c r="C38" i="1"/>
  <c r="B37" i="1"/>
  <c r="B36" i="1"/>
  <c r="B35" i="1"/>
  <c r="B34" i="1"/>
  <c r="M33" i="1"/>
  <c r="L33" i="1"/>
  <c r="K33" i="1"/>
  <c r="J33" i="1"/>
  <c r="G33" i="1"/>
  <c r="F33" i="1"/>
  <c r="E33" i="1"/>
  <c r="D33" i="1"/>
  <c r="B33" i="1" s="1"/>
  <c r="C33" i="1"/>
  <c r="N32" i="1"/>
  <c r="M32" i="1"/>
  <c r="L32" i="1"/>
  <c r="K32" i="1"/>
  <c r="J32" i="1"/>
  <c r="I32" i="1"/>
  <c r="H32" i="1"/>
  <c r="G32" i="1"/>
  <c r="F32" i="1"/>
  <c r="E32" i="1"/>
  <c r="B32" i="1" s="1"/>
  <c r="D32" i="1"/>
  <c r="C32" i="1"/>
  <c r="L31" i="1"/>
  <c r="L26" i="1" s="1"/>
  <c r="K31" i="1"/>
  <c r="J31" i="1"/>
  <c r="I31" i="1"/>
  <c r="F31" i="1"/>
  <c r="E31" i="1"/>
  <c r="D31" i="1"/>
  <c r="C31" i="1"/>
  <c r="B31" i="1"/>
  <c r="L30" i="1"/>
  <c r="K30" i="1"/>
  <c r="H30" i="1"/>
  <c r="H26" i="1" s="1"/>
  <c r="B30" i="1"/>
  <c r="B29" i="1"/>
  <c r="B28" i="1"/>
  <c r="N27" i="1"/>
  <c r="M27" i="1"/>
  <c r="M26" i="1" s="1"/>
  <c r="L27" i="1"/>
  <c r="K27" i="1"/>
  <c r="J27" i="1"/>
  <c r="I27" i="1"/>
  <c r="I26" i="1" s="1"/>
  <c r="H27" i="1"/>
  <c r="G27" i="1"/>
  <c r="F27" i="1"/>
  <c r="E27" i="1"/>
  <c r="E26" i="1" s="1"/>
  <c r="D27" i="1"/>
  <c r="C27" i="1"/>
  <c r="N26" i="1"/>
  <c r="K26" i="1"/>
  <c r="J26" i="1"/>
  <c r="G26" i="1"/>
  <c r="F26" i="1"/>
  <c r="C26" i="1"/>
  <c r="B25" i="1"/>
  <c r="M24" i="1"/>
  <c r="K24" i="1"/>
  <c r="I24" i="1"/>
  <c r="I16" i="1" s="1"/>
  <c r="G24" i="1"/>
  <c r="F24" i="1"/>
  <c r="D24" i="1"/>
  <c r="B24" i="1"/>
  <c r="B23" i="1"/>
  <c r="K22" i="1"/>
  <c r="F22" i="1"/>
  <c r="E22" i="1"/>
  <c r="B22" i="1" s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D19" i="1"/>
  <c r="B19" i="1"/>
  <c r="B18" i="1"/>
  <c r="N17" i="1"/>
  <c r="N16" i="1" s="1"/>
  <c r="M17" i="1"/>
  <c r="L17" i="1"/>
  <c r="K17" i="1"/>
  <c r="J17" i="1"/>
  <c r="J16" i="1" s="1"/>
  <c r="I17" i="1"/>
  <c r="H17" i="1"/>
  <c r="G17" i="1"/>
  <c r="F17" i="1"/>
  <c r="F16" i="1" s="1"/>
  <c r="E17" i="1"/>
  <c r="D17" i="1"/>
  <c r="C17" i="1"/>
  <c r="B17" i="1"/>
  <c r="M16" i="1"/>
  <c r="L16" i="1"/>
  <c r="K16" i="1"/>
  <c r="H16" i="1"/>
  <c r="G16" i="1"/>
  <c r="D16" i="1"/>
  <c r="C16" i="1"/>
  <c r="B15" i="1"/>
  <c r="B14" i="1"/>
  <c r="B13" i="1"/>
  <c r="B12" i="1"/>
  <c r="B11" i="1"/>
  <c r="B10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 s="1"/>
  <c r="B7" i="1"/>
  <c r="M5" i="1"/>
  <c r="L5" i="1"/>
  <c r="I5" i="1"/>
  <c r="H5" i="1"/>
  <c r="E5" i="1"/>
  <c r="D5" i="1"/>
  <c r="B16" i="1" l="1"/>
  <c r="E16" i="1"/>
  <c r="D26" i="1"/>
  <c r="B27" i="1"/>
  <c r="B26" i="1" s="1"/>
  <c r="E46" i="1"/>
  <c r="B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M20" authorId="0" shapeId="0" xr:uid="{6DDF3A93-646A-42EA-A429-FAA0E485A48A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 shapeId="0" xr:uid="{1B0CD6DC-48C0-4FC6-AF35-64C532D9D397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<sst xmlns="http://schemas.openxmlformats.org/spreadsheetml/2006/main" count="89" uniqueCount="89">
  <si>
    <t>NORMA para establecer la estructura del Calendario del Presupuesto de Egresos base mensual.</t>
  </si>
  <si>
    <t>Entidad Federativa/Municipio Ziracuaretiro Michoacan</t>
  </si>
  <si>
    <t>Calendario de Presupuesto de Egresos del Ejercicio Fiscal 2021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</si>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</sst>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justify" vertical="center"/>
    </xf>
    <xf numFmtId="44" fontId="6" fillId="0" borderId="11" xfId="1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/>
    </xf>
    <xf numFmtId="44" fontId="4" fillId="0" borderId="12" xfId="1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/>
    </xf>
    <xf numFmtId="44" fontId="6" fillId="0" borderId="12" xfId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44" fontId="4" fillId="0" borderId="10" xfId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tabSelected="1" workbookViewId="0">
      <selection activeCell="I4" sqref="I1:I1048576"/>
    </sheetView>
  </sheetViews>
  <sheetFormatPr baseColWidth="10" defaultColWidth="9.140625" defaultRowHeight="15" x14ac:dyDescent="0.25"/>
  <cols>
    <col min="1" max="1" width="20" customWidth="1"/>
    <col min="2" max="2" width="16.5703125" bestFit="1" customWidth="1"/>
    <col min="3" max="3" width="15.28515625" bestFit="1" customWidth="1"/>
    <col min="4" max="4" width="16.5703125" bestFit="1" customWidth="1"/>
    <col min="5" max="5" width="15.28515625" bestFit="1" customWidth="1"/>
    <col min="6" max="6" width="16.5703125" bestFit="1" customWidth="1"/>
    <col min="7" max="14" width="15.28515625" bestFit="1" customWidth="1"/>
  </cols>
  <sheetData>
    <row r="1" spans="1:14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5.75" thickBot="1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29.25" thickBot="1" x14ac:dyDescent="0.3">
      <c r="A4" s="8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 t="s">
        <v>15</v>
      </c>
    </row>
    <row r="5" spans="1:14" ht="15.75" thickBot="1" x14ac:dyDescent="0.3">
      <c r="A5" s="11" t="s">
        <v>16</v>
      </c>
      <c r="B5" s="12">
        <f>+B7+B15+B25+B35+B45+B56+B72</f>
        <v>69041807</v>
      </c>
      <c r="C5" s="12">
        <f t="shared" ref="C5:N5" si="0">+C7+C15+C25+C35+C45+C56+C72</f>
        <v>4516779.43</v>
      </c>
      <c r="D5" s="12">
        <f t="shared" si="0"/>
        <v>19064423.59</v>
      </c>
      <c r="E5" s="12">
        <f t="shared" si="0"/>
        <v>5291387.09</v>
      </c>
      <c r="F5" s="12">
        <f t="shared" si="0"/>
        <v>10219881.51</v>
      </c>
      <c r="G5" s="12">
        <f t="shared" si="0"/>
        <v>4141158.79</v>
      </c>
      <c r="H5" s="12">
        <f t="shared" si="0"/>
        <v>4063313.2500000005</v>
      </c>
      <c r="I5" s="12">
        <f t="shared" si="0"/>
        <v>4420793.1199999992</v>
      </c>
      <c r="J5" s="12">
        <f t="shared" si="0"/>
        <v>3920559.08</v>
      </c>
      <c r="K5" s="12">
        <f t="shared" si="0"/>
        <v>3688138.6700000004</v>
      </c>
      <c r="L5" s="12">
        <f t="shared" si="0"/>
        <v>3222778.8200000003</v>
      </c>
      <c r="M5" s="12">
        <f t="shared" si="0"/>
        <v>3208739.3200000003</v>
      </c>
      <c r="N5" s="12">
        <f t="shared" si="0"/>
        <v>3283854.33</v>
      </c>
    </row>
    <row r="6" spans="1:14" ht="15.75" thickBot="1" x14ac:dyDescent="0.3">
      <c r="A6" s="13"/>
    </row>
    <row r="7" spans="1:14" ht="60" x14ac:dyDescent="0.25">
      <c r="A7" s="14" t="s">
        <v>17</v>
      </c>
      <c r="B7" s="15">
        <f>SUM(C7:N7)</f>
        <v>28543813.949999999</v>
      </c>
      <c r="C7" s="15">
        <v>2368778.0699999998</v>
      </c>
      <c r="D7" s="15">
        <v>2368778.0699999998</v>
      </c>
      <c r="E7" s="15">
        <v>2368778.0699999998</v>
      </c>
      <c r="F7" s="15">
        <v>2368778.0699999998</v>
      </c>
      <c r="G7" s="15">
        <v>2368778.0699999998</v>
      </c>
      <c r="H7" s="15">
        <v>2489873.7200000002</v>
      </c>
      <c r="I7" s="15">
        <v>2368778.0699999998</v>
      </c>
      <c r="J7" s="15">
        <v>2368778.0699999998</v>
      </c>
      <c r="K7" s="15">
        <v>2337849.54</v>
      </c>
      <c r="L7" s="15">
        <v>2337849.54</v>
      </c>
      <c r="M7" s="15">
        <v>2337849.54</v>
      </c>
      <c r="N7" s="15">
        <v>2458945.12</v>
      </c>
    </row>
    <row r="8" spans="1:14" ht="114" x14ac:dyDescent="0.25">
      <c r="A8" s="16" t="s">
        <v>18</v>
      </c>
      <c r="B8" s="17">
        <f>SUM(C8:N8)</f>
        <v>25687521.789999999</v>
      </c>
      <c r="C8" s="17">
        <f>+C7-C9-C12</f>
        <v>2130753.73</v>
      </c>
      <c r="D8" s="17">
        <f t="shared" ref="D8:N8" si="1">+D7-D9-D12</f>
        <v>2130753.73</v>
      </c>
      <c r="E8" s="17">
        <f t="shared" si="1"/>
        <v>2130753.73</v>
      </c>
      <c r="F8" s="17">
        <f t="shared" si="1"/>
        <v>2130753.73</v>
      </c>
      <c r="G8" s="17">
        <f t="shared" si="1"/>
        <v>2130753.73</v>
      </c>
      <c r="H8" s="17">
        <f t="shared" si="1"/>
        <v>2251849.3800000004</v>
      </c>
      <c r="I8" s="17">
        <f t="shared" si="1"/>
        <v>2130753.73</v>
      </c>
      <c r="J8" s="17">
        <f t="shared" si="1"/>
        <v>2130753.73</v>
      </c>
      <c r="K8" s="17">
        <f t="shared" si="1"/>
        <v>2099825.1999999997</v>
      </c>
      <c r="L8" s="17">
        <f t="shared" si="1"/>
        <v>2099825.1999999997</v>
      </c>
      <c r="M8" s="17">
        <f t="shared" si="1"/>
        <v>2099825.1999999997</v>
      </c>
      <c r="N8" s="17">
        <f t="shared" si="1"/>
        <v>2220920.6999999997</v>
      </c>
    </row>
    <row r="9" spans="1:14" ht="114" x14ac:dyDescent="0.25">
      <c r="A9" s="16" t="s">
        <v>19</v>
      </c>
      <c r="B9" s="17">
        <f t="shared" ref="B9:B72" si="2">SUM(C9:N9)</f>
        <v>2716892.88</v>
      </c>
      <c r="C9" s="17">
        <v>226407.74</v>
      </c>
      <c r="D9" s="17">
        <v>226407.74</v>
      </c>
      <c r="E9" s="17">
        <v>226407.74</v>
      </c>
      <c r="F9" s="17">
        <v>226407.74</v>
      </c>
      <c r="G9" s="17">
        <v>226407.74</v>
      </c>
      <c r="H9" s="17">
        <v>226407.74</v>
      </c>
      <c r="I9" s="17">
        <v>226407.74</v>
      </c>
      <c r="J9" s="17">
        <v>226407.74</v>
      </c>
      <c r="K9" s="17">
        <v>226407.74</v>
      </c>
      <c r="L9" s="17">
        <v>226407.74</v>
      </c>
      <c r="M9" s="17">
        <v>226407.74</v>
      </c>
      <c r="N9" s="17">
        <v>226407.74</v>
      </c>
    </row>
    <row r="10" spans="1:14" ht="85.5" x14ac:dyDescent="0.25">
      <c r="A10" s="16" t="s">
        <v>20</v>
      </c>
      <c r="B10" s="17">
        <f t="shared" si="2"/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42.75" x14ac:dyDescent="0.25">
      <c r="A11" s="16" t="s">
        <v>21</v>
      </c>
      <c r="B11" s="17">
        <f t="shared" si="2"/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99.75" x14ac:dyDescent="0.25">
      <c r="A12" s="16" t="s">
        <v>22</v>
      </c>
      <c r="B12" s="17">
        <f t="shared" si="2"/>
        <v>139399.28000000003</v>
      </c>
      <c r="C12" s="17">
        <v>11616.6</v>
      </c>
      <c r="D12" s="17">
        <v>11616.6</v>
      </c>
      <c r="E12" s="17">
        <v>11616.6</v>
      </c>
      <c r="F12" s="17">
        <v>11616.6</v>
      </c>
      <c r="G12" s="17">
        <v>11616.6</v>
      </c>
      <c r="H12" s="17">
        <v>11616.6</v>
      </c>
      <c r="I12" s="17">
        <v>11616.6</v>
      </c>
      <c r="J12" s="17">
        <v>11616.6</v>
      </c>
      <c r="K12" s="17">
        <v>11616.6</v>
      </c>
      <c r="L12" s="17">
        <v>11616.6</v>
      </c>
      <c r="M12" s="17">
        <v>11616.6</v>
      </c>
      <c r="N12" s="17">
        <v>11616.68</v>
      </c>
    </row>
    <row r="13" spans="1:14" ht="28.5" x14ac:dyDescent="0.25">
      <c r="A13" s="16" t="s">
        <v>23</v>
      </c>
      <c r="B13" s="17">
        <f t="shared" si="2"/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85.5" x14ac:dyDescent="0.25">
      <c r="A14" s="16" t="s">
        <v>24</v>
      </c>
      <c r="B14" s="17">
        <f t="shared" si="2"/>
        <v>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60" x14ac:dyDescent="0.25">
      <c r="A15" s="18" t="s">
        <v>25</v>
      </c>
      <c r="B15" s="19">
        <f t="shared" si="2"/>
        <v>6276381.6099999994</v>
      </c>
      <c r="C15" s="19">
        <v>523292.89</v>
      </c>
      <c r="D15" s="19">
        <v>744666.25</v>
      </c>
      <c r="E15" s="19">
        <v>663253.84</v>
      </c>
      <c r="F15" s="19">
        <v>634885.67000000004</v>
      </c>
      <c r="G15" s="19">
        <v>604939.54</v>
      </c>
      <c r="H15" s="19">
        <v>526399.26</v>
      </c>
      <c r="I15" s="19">
        <v>523740.53</v>
      </c>
      <c r="J15" s="19">
        <v>505066.67</v>
      </c>
      <c r="K15" s="19">
        <v>450878.83</v>
      </c>
      <c r="L15" s="19">
        <v>397992.39</v>
      </c>
      <c r="M15" s="19">
        <v>365263.93</v>
      </c>
      <c r="N15" s="19">
        <v>336001.81</v>
      </c>
    </row>
    <row r="16" spans="1:14" ht="142.5" x14ac:dyDescent="0.25">
      <c r="A16" s="16" t="s">
        <v>26</v>
      </c>
      <c r="B16" s="17">
        <f>+B15-B17-B18-B19-B20-B21-B22-B23-B24</f>
        <v>1799498.8699999987</v>
      </c>
      <c r="C16" s="17">
        <f t="shared" ref="C16:N16" si="3">+C15-C17-C18-C19-C20-C21-C22-C23-C24</f>
        <v>154161.30000000002</v>
      </c>
      <c r="D16" s="17">
        <f t="shared" si="3"/>
        <v>273855.76</v>
      </c>
      <c r="E16" s="17">
        <f t="shared" si="3"/>
        <v>246985.34999999998</v>
      </c>
      <c r="F16" s="17">
        <f t="shared" si="3"/>
        <v>212347.64</v>
      </c>
      <c r="G16" s="17">
        <f t="shared" si="3"/>
        <v>198454.05000000002</v>
      </c>
      <c r="H16" s="17">
        <f t="shared" si="3"/>
        <v>137543.76999999999</v>
      </c>
      <c r="I16" s="17">
        <f t="shared" si="3"/>
        <v>122706.80000000005</v>
      </c>
      <c r="J16" s="17">
        <f t="shared" si="3"/>
        <v>136207.83999999997</v>
      </c>
      <c r="K16" s="17">
        <f t="shared" si="3"/>
        <v>82430</v>
      </c>
      <c r="L16" s="17">
        <f t="shared" si="3"/>
        <v>94990.460000000021</v>
      </c>
      <c r="M16" s="17">
        <f t="shared" si="3"/>
        <v>78661.999999999971</v>
      </c>
      <c r="N16" s="17">
        <f t="shared" si="3"/>
        <v>61153.899999999994</v>
      </c>
    </row>
    <row r="17" spans="1:14" ht="57" x14ac:dyDescent="0.25">
      <c r="A17" s="16" t="s">
        <v>27</v>
      </c>
      <c r="B17" s="17">
        <f t="shared" si="2"/>
        <v>903130</v>
      </c>
      <c r="C17" s="17">
        <f>7500+60880+3700</f>
        <v>72080</v>
      </c>
      <c r="D17" s="17">
        <f>12500+72014+4700</f>
        <v>89214</v>
      </c>
      <c r="E17" s="17">
        <f>5500+70577+16500</f>
        <v>92577</v>
      </c>
      <c r="F17" s="17">
        <f>10000+72343+14200</f>
        <v>96543</v>
      </c>
      <c r="G17" s="17">
        <f>6000+70034+17200</f>
        <v>93234</v>
      </c>
      <c r="H17" s="17">
        <f>6000+53364+6700</f>
        <v>66064</v>
      </c>
      <c r="I17" s="17">
        <f>3500+5859+16000+56300</f>
        <v>81659</v>
      </c>
      <c r="J17" s="17">
        <f>6500+54364+6700</f>
        <v>67564</v>
      </c>
      <c r="K17" s="17">
        <f>3000+51334+6700</f>
        <v>61034</v>
      </c>
      <c r="L17" s="17">
        <f>6000+51334+4700</f>
        <v>62034</v>
      </c>
      <c r="M17" s="17">
        <f>7000+51864+700</f>
        <v>59564</v>
      </c>
      <c r="N17" s="17">
        <f>3074+51489+7000</f>
        <v>61563</v>
      </c>
    </row>
    <row r="18" spans="1:14" ht="128.25" x14ac:dyDescent="0.25">
      <c r="A18" s="16" t="s">
        <v>28</v>
      </c>
      <c r="B18" s="17">
        <f t="shared" si="2"/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128.25" x14ac:dyDescent="0.25">
      <c r="A19" s="16" t="s">
        <v>29</v>
      </c>
      <c r="B19" s="17">
        <f t="shared" si="2"/>
        <v>21845</v>
      </c>
      <c r="C19" s="17">
        <v>0</v>
      </c>
      <c r="D19" s="17">
        <f>10700+11145</f>
        <v>21845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</row>
    <row r="20" spans="1:14" ht="128.25" x14ac:dyDescent="0.25">
      <c r="A20" s="16" t="s">
        <v>30</v>
      </c>
      <c r="B20" s="17">
        <f t="shared" si="2"/>
        <v>297180.08</v>
      </c>
      <c r="C20" s="17">
        <f>6500+24060+250</f>
        <v>30810</v>
      </c>
      <c r="D20" s="17">
        <f>5000+22760</f>
        <v>27760</v>
      </c>
      <c r="E20" s="17">
        <f>6500+21900+250</f>
        <v>28650</v>
      </c>
      <c r="F20" s="17">
        <f>5000+22760</f>
        <v>27760</v>
      </c>
      <c r="G20" s="17">
        <f>6500+22960+250</f>
        <v>29710</v>
      </c>
      <c r="H20" s="17">
        <f>5000+21700</f>
        <v>26700</v>
      </c>
      <c r="I20" s="17">
        <f>6500+22000+960+250</f>
        <v>29710</v>
      </c>
      <c r="J20" s="17">
        <f>5000+22760</f>
        <v>27760</v>
      </c>
      <c r="K20" s="17">
        <f>6500+13400+250</f>
        <v>20150</v>
      </c>
      <c r="L20" s="17">
        <f>5000+14260</f>
        <v>19260</v>
      </c>
      <c r="M20" s="17">
        <f>1500+14460+250</f>
        <v>16210</v>
      </c>
      <c r="N20" s="17">
        <v>12700.08</v>
      </c>
    </row>
    <row r="21" spans="1:14" ht="71.25" x14ac:dyDescent="0.25">
      <c r="A21" s="16" t="s">
        <v>31</v>
      </c>
      <c r="B21" s="17">
        <f t="shared" si="2"/>
        <v>2869634.1200000006</v>
      </c>
      <c r="C21" s="17">
        <f>35046.2+173878.73+43016.66</f>
        <v>251941.59</v>
      </c>
      <c r="D21" s="17">
        <f>38146.2+174378.63+43866.66</f>
        <v>256391.49000000002</v>
      </c>
      <c r="E21" s="17">
        <f>38246.2+173978.63+47516.66</f>
        <v>259741.49000000002</v>
      </c>
      <c r="F21" s="17">
        <f>37646.2+175528.63+43866.66</f>
        <v>257041.49000000002</v>
      </c>
      <c r="G21" s="17">
        <f>38246.2+177978.63+44016.66</f>
        <v>260241.49000000002</v>
      </c>
      <c r="H21" s="17">
        <f>37346.2+176278.63+43466.66</f>
        <v>257091.49000000002</v>
      </c>
      <c r="I21" s="17">
        <f>41846.2+175578.53+40200</f>
        <v>257624.72999999998</v>
      </c>
      <c r="J21" s="17">
        <f>39346.2+174878.63+39050</f>
        <v>253274.83000000002</v>
      </c>
      <c r="K21" s="17">
        <f>36746.2+169318.63+35700</f>
        <v>241764.83000000002</v>
      </c>
      <c r="L21" s="17">
        <f>35846.2+135161.73+31200</f>
        <v>202207.93</v>
      </c>
      <c r="M21" s="17">
        <f>18866.2+135161.73+33700</f>
        <v>187727.93000000002</v>
      </c>
      <c r="N21" s="17">
        <f>18866.2+134518.63+31200</f>
        <v>184584.83000000002</v>
      </c>
    </row>
    <row r="22" spans="1:14" ht="142.5" x14ac:dyDescent="0.25">
      <c r="A22" s="16" t="s">
        <v>32</v>
      </c>
      <c r="B22" s="17">
        <f t="shared" si="2"/>
        <v>80213.540000000008</v>
      </c>
      <c r="C22" s="17">
        <f>2000+1300</f>
        <v>3300</v>
      </c>
      <c r="D22" s="17">
        <f>9700+9760</f>
        <v>19460</v>
      </c>
      <c r="E22" s="17">
        <f>12000+1300</f>
        <v>13300</v>
      </c>
      <c r="F22" s="17">
        <f>1500+1593.54</f>
        <v>3093.54</v>
      </c>
      <c r="G22" s="17">
        <v>1300</v>
      </c>
      <c r="H22" s="17">
        <v>7500</v>
      </c>
      <c r="I22" s="17">
        <v>1000</v>
      </c>
      <c r="J22" s="17">
        <v>760</v>
      </c>
      <c r="K22" s="17">
        <f>11000+6500</f>
        <v>17500</v>
      </c>
      <c r="L22" s="17">
        <v>1500</v>
      </c>
      <c r="M22" s="17">
        <v>11500</v>
      </c>
      <c r="N22" s="17"/>
    </row>
    <row r="23" spans="1:14" ht="85.5" x14ac:dyDescent="0.25">
      <c r="A23" s="16" t="s">
        <v>33</v>
      </c>
      <c r="B23" s="17">
        <f t="shared" si="2"/>
        <v>94380</v>
      </c>
      <c r="C23" s="17">
        <v>500</v>
      </c>
      <c r="D23" s="17">
        <v>14140</v>
      </c>
      <c r="E23" s="17">
        <v>10500</v>
      </c>
      <c r="F23" s="17">
        <v>10600</v>
      </c>
      <c r="G23" s="17">
        <v>10500</v>
      </c>
      <c r="H23" s="17">
        <v>10500</v>
      </c>
      <c r="I23" s="17">
        <v>4040</v>
      </c>
      <c r="J23" s="17">
        <v>10500</v>
      </c>
      <c r="K23" s="17">
        <v>1000</v>
      </c>
      <c r="L23" s="17">
        <v>10000</v>
      </c>
      <c r="M23" s="17">
        <v>1100</v>
      </c>
      <c r="N23" s="17">
        <v>11000</v>
      </c>
    </row>
    <row r="24" spans="1:14" ht="99.75" x14ac:dyDescent="0.25">
      <c r="A24" s="16" t="s">
        <v>34</v>
      </c>
      <c r="B24" s="17">
        <f t="shared" si="2"/>
        <v>210500</v>
      </c>
      <c r="C24" s="17">
        <v>10500</v>
      </c>
      <c r="D24" s="17">
        <f>10500+31500</f>
        <v>42000</v>
      </c>
      <c r="E24" s="17">
        <v>11500</v>
      </c>
      <c r="F24" s="17">
        <f>3000+24500</f>
        <v>27500</v>
      </c>
      <c r="G24" s="17">
        <f>7500+4000</f>
        <v>11500</v>
      </c>
      <c r="H24" s="17">
        <v>21000</v>
      </c>
      <c r="I24" s="17">
        <f>7500+19500</f>
        <v>27000</v>
      </c>
      <c r="J24" s="17">
        <v>9000</v>
      </c>
      <c r="K24" s="17">
        <f>7500+19500</f>
        <v>27000</v>
      </c>
      <c r="L24" s="17">
        <v>8000</v>
      </c>
      <c r="M24" s="17">
        <f>7500+3000</f>
        <v>10500</v>
      </c>
      <c r="N24" s="17">
        <v>5000</v>
      </c>
    </row>
    <row r="25" spans="1:14" ht="60" x14ac:dyDescent="0.25">
      <c r="A25" s="18" t="s">
        <v>35</v>
      </c>
      <c r="B25" s="19">
        <f t="shared" si="2"/>
        <v>9121206.9299999978</v>
      </c>
      <c r="C25" s="19">
        <v>1084819.81</v>
      </c>
      <c r="D25" s="19">
        <v>1646881.61</v>
      </c>
      <c r="E25" s="19">
        <v>1479766.52</v>
      </c>
      <c r="F25" s="19">
        <v>737533.6</v>
      </c>
      <c r="G25" s="19">
        <v>716052.52</v>
      </c>
      <c r="H25" s="19">
        <v>663151.61</v>
      </c>
      <c r="I25" s="19">
        <v>640385.86</v>
      </c>
      <c r="J25" s="19">
        <v>698825.68</v>
      </c>
      <c r="K25" s="19">
        <v>607320.64</v>
      </c>
      <c r="L25" s="19">
        <v>274269.23</v>
      </c>
      <c r="M25" s="19">
        <v>306959.19</v>
      </c>
      <c r="N25" s="19">
        <v>265240.65999999997</v>
      </c>
    </row>
    <row r="26" spans="1:14" ht="42.75" x14ac:dyDescent="0.25">
      <c r="A26" s="16" t="s">
        <v>36</v>
      </c>
      <c r="B26" s="17">
        <f>+B25-SUM(B27:B34)</f>
        <v>4586027.5999999978</v>
      </c>
      <c r="C26" s="17">
        <f t="shared" ref="C26:N26" si="4">+C25-SUM(C27:C34)</f>
        <v>415472.52</v>
      </c>
      <c r="D26" s="17">
        <f t="shared" si="4"/>
        <v>510422.52</v>
      </c>
      <c r="E26" s="17">
        <f t="shared" si="4"/>
        <v>554852.52</v>
      </c>
      <c r="F26" s="17">
        <f t="shared" si="4"/>
        <v>498674.51999999996</v>
      </c>
      <c r="G26" s="17">
        <f t="shared" si="4"/>
        <v>492622.52</v>
      </c>
      <c r="H26" s="17">
        <f t="shared" si="4"/>
        <v>413072.52</v>
      </c>
      <c r="I26" s="17">
        <f t="shared" si="4"/>
        <v>460422.52</v>
      </c>
      <c r="J26" s="17">
        <f t="shared" si="4"/>
        <v>400622.52</v>
      </c>
      <c r="K26" s="17">
        <f t="shared" si="4"/>
        <v>363876.36</v>
      </c>
      <c r="L26" s="17">
        <f t="shared" si="4"/>
        <v>153389.22999999998</v>
      </c>
      <c r="M26" s="17">
        <f t="shared" si="4"/>
        <v>157509.19</v>
      </c>
      <c r="N26" s="17">
        <f t="shared" si="4"/>
        <v>165090.65999999997</v>
      </c>
    </row>
    <row r="27" spans="1:14" ht="57" x14ac:dyDescent="0.25">
      <c r="A27" s="16" t="s">
        <v>37</v>
      </c>
      <c r="B27" s="17">
        <f t="shared" si="2"/>
        <v>593940.41</v>
      </c>
      <c r="C27" s="17">
        <f>30400+22200</f>
        <v>52600</v>
      </c>
      <c r="D27" s="17">
        <f>30400+27700+11195.75</f>
        <v>69295.75</v>
      </c>
      <c r="E27" s="17">
        <f>30400+24200</f>
        <v>54600</v>
      </c>
      <c r="F27" s="17">
        <f>30400+27700+5195.75</f>
        <v>63295.75</v>
      </c>
      <c r="G27" s="17">
        <f>30400+24200+7000</f>
        <v>61600</v>
      </c>
      <c r="H27" s="17">
        <f>30400+5000+20700+5195.75+6700</f>
        <v>67995.75</v>
      </c>
      <c r="I27" s="17">
        <f>30400+5000+17700+6000+6700</f>
        <v>65800</v>
      </c>
      <c r="J27" s="17">
        <f>30400+5000+21057.41+7000+5195.75+6700</f>
        <v>75353.16</v>
      </c>
      <c r="K27" s="17">
        <f>17400+9000+7500</f>
        <v>33900</v>
      </c>
      <c r="L27" s="17">
        <f>9000+7500</f>
        <v>16500</v>
      </c>
      <c r="M27" s="17">
        <f t="shared" ref="M27:N27" si="5">9000+7500</f>
        <v>16500</v>
      </c>
      <c r="N27" s="17">
        <f t="shared" si="5"/>
        <v>16500</v>
      </c>
    </row>
    <row r="28" spans="1:14" ht="156.75" x14ac:dyDescent="0.25">
      <c r="A28" s="16" t="s">
        <v>38</v>
      </c>
      <c r="B28" s="17">
        <f t="shared" si="2"/>
        <v>1150116.6900000004</v>
      </c>
      <c r="C28" s="17">
        <v>510500</v>
      </c>
      <c r="D28" s="17">
        <v>518083.34</v>
      </c>
      <c r="E28" s="17">
        <v>29500</v>
      </c>
      <c r="F28" s="17">
        <v>17083.330000000002</v>
      </c>
      <c r="G28" s="17">
        <v>14000</v>
      </c>
      <c r="H28" s="17">
        <v>24083.34</v>
      </c>
      <c r="I28" s="17">
        <v>7583.34</v>
      </c>
      <c r="J28" s="17">
        <v>2500</v>
      </c>
      <c r="K28" s="17">
        <v>5583.34</v>
      </c>
      <c r="L28" s="17">
        <v>10000</v>
      </c>
      <c r="M28" s="17">
        <v>4000</v>
      </c>
      <c r="N28" s="17">
        <v>7200</v>
      </c>
    </row>
    <row r="29" spans="1:14" ht="114" x14ac:dyDescent="0.25">
      <c r="A29" s="16" t="s">
        <v>39</v>
      </c>
      <c r="B29" s="17">
        <f t="shared" si="2"/>
        <v>37200</v>
      </c>
      <c r="C29" s="17">
        <v>3100</v>
      </c>
      <c r="D29" s="17">
        <v>3100</v>
      </c>
      <c r="E29" s="17">
        <v>3100</v>
      </c>
      <c r="F29" s="17">
        <v>3100</v>
      </c>
      <c r="G29" s="17">
        <v>3100</v>
      </c>
      <c r="H29" s="17">
        <v>3100</v>
      </c>
      <c r="I29" s="17">
        <v>3100</v>
      </c>
      <c r="J29" s="17">
        <v>3100</v>
      </c>
      <c r="K29" s="17">
        <v>3100</v>
      </c>
      <c r="L29" s="17">
        <v>3100</v>
      </c>
      <c r="M29" s="17">
        <v>3100</v>
      </c>
      <c r="N29" s="17">
        <v>3100</v>
      </c>
    </row>
    <row r="30" spans="1:14" ht="142.5" x14ac:dyDescent="0.25">
      <c r="A30" s="16" t="s">
        <v>40</v>
      </c>
      <c r="B30" s="17">
        <f t="shared" si="2"/>
        <v>184794.94</v>
      </c>
      <c r="C30" s="17">
        <v>3000</v>
      </c>
      <c r="D30" s="17">
        <v>14500</v>
      </c>
      <c r="E30" s="17">
        <v>60914</v>
      </c>
      <c r="F30" s="17">
        <v>6500</v>
      </c>
      <c r="G30" s="17">
        <v>4000</v>
      </c>
      <c r="H30" s="17">
        <f>56500+4800</f>
        <v>61300</v>
      </c>
      <c r="I30" s="17">
        <v>2500</v>
      </c>
      <c r="J30" s="17">
        <v>10000</v>
      </c>
      <c r="K30" s="17">
        <f>8980.94+2500</f>
        <v>11480.94</v>
      </c>
      <c r="L30" s="17">
        <f>500+4800</f>
        <v>5300</v>
      </c>
      <c r="M30" s="17">
        <v>2500</v>
      </c>
      <c r="N30" s="17">
        <v>2800</v>
      </c>
    </row>
    <row r="31" spans="1:14" ht="99.75" x14ac:dyDescent="0.25">
      <c r="A31" s="16" t="s">
        <v>41</v>
      </c>
      <c r="B31" s="17">
        <f t="shared" si="2"/>
        <v>313750</v>
      </c>
      <c r="C31" s="17">
        <f>18000+5000</f>
        <v>23000</v>
      </c>
      <c r="D31" s="17">
        <f>107600+10000</f>
        <v>117600</v>
      </c>
      <c r="E31" s="17">
        <f>20100+8550+6000</f>
        <v>34650</v>
      </c>
      <c r="F31" s="17">
        <f>27100+300</f>
        <v>27400</v>
      </c>
      <c r="G31" s="17">
        <v>600</v>
      </c>
      <c r="H31" s="17">
        <v>2800</v>
      </c>
      <c r="I31" s="17">
        <f>24000+300</f>
        <v>24300</v>
      </c>
      <c r="J31" s="17">
        <f>15000+5800</f>
        <v>20800</v>
      </c>
      <c r="K31" s="17">
        <f>15000+300+1000</f>
        <v>16300</v>
      </c>
      <c r="L31" s="17">
        <f>+K31</f>
        <v>16300</v>
      </c>
      <c r="M31" s="17">
        <v>15000</v>
      </c>
      <c r="N31" s="17">
        <v>15000</v>
      </c>
    </row>
    <row r="32" spans="1:14" ht="71.25" x14ac:dyDescent="0.25">
      <c r="A32" s="16" t="s">
        <v>42</v>
      </c>
      <c r="B32" s="17">
        <f t="shared" si="2"/>
        <v>788277.29</v>
      </c>
      <c r="C32" s="17">
        <f>49147.29+3500</f>
        <v>52647.29</v>
      </c>
      <c r="D32" s="17">
        <f>82480+3000</f>
        <v>85480</v>
      </c>
      <c r="E32" s="17">
        <f>75450+3200</f>
        <v>78650</v>
      </c>
      <c r="F32" s="17">
        <f>79980+3000</f>
        <v>82980</v>
      </c>
      <c r="G32" s="17">
        <f>82030+16000+3200</f>
        <v>101230</v>
      </c>
      <c r="H32" s="17">
        <f>69300+3000</f>
        <v>72300</v>
      </c>
      <c r="I32" s="17">
        <f>59580+3200</f>
        <v>62780</v>
      </c>
      <c r="J32" s="17">
        <f>64950+3000</f>
        <v>67950</v>
      </c>
      <c r="K32" s="17">
        <f>52380+2700</f>
        <v>55080</v>
      </c>
      <c r="L32" s="17">
        <f>44180+2500</f>
        <v>46680</v>
      </c>
      <c r="M32" s="17">
        <f>42450+2500</f>
        <v>44950</v>
      </c>
      <c r="N32" s="17">
        <f>35050+2500</f>
        <v>37550</v>
      </c>
    </row>
    <row r="33" spans="1:14" ht="42.75" x14ac:dyDescent="0.25">
      <c r="A33" s="16" t="s">
        <v>43</v>
      </c>
      <c r="B33" s="17">
        <f t="shared" si="2"/>
        <v>1467100</v>
      </c>
      <c r="C33" s="17">
        <f>4500+20000</f>
        <v>24500</v>
      </c>
      <c r="D33" s="17">
        <f>18900+309500</f>
        <v>328400</v>
      </c>
      <c r="E33" s="17">
        <f>58500+605000</f>
        <v>663500</v>
      </c>
      <c r="F33" s="17">
        <f>18500+20000</f>
        <v>38500</v>
      </c>
      <c r="G33" s="17">
        <f>18900+20000</f>
        <v>38900</v>
      </c>
      <c r="H33" s="17">
        <v>18500</v>
      </c>
      <c r="I33" s="17">
        <v>13900</v>
      </c>
      <c r="J33" s="17">
        <f>13500+105000</f>
        <v>118500</v>
      </c>
      <c r="K33" s="17">
        <f>18000+100000</f>
        <v>118000</v>
      </c>
      <c r="L33" s="17">
        <f>18000+5000</f>
        <v>23000</v>
      </c>
      <c r="M33" s="17">
        <f>58400+5000</f>
        <v>63400</v>
      </c>
      <c r="N33" s="17">
        <v>18000</v>
      </c>
    </row>
    <row r="34" spans="1:14" ht="71.25" x14ac:dyDescent="0.25">
      <c r="A34" s="16" t="s">
        <v>44</v>
      </c>
      <c r="B34" s="17">
        <f t="shared" si="2"/>
        <v>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0" x14ac:dyDescent="0.25">
      <c r="A35" s="18" t="s">
        <v>45</v>
      </c>
      <c r="B35" s="19">
        <f t="shared" si="2"/>
        <v>3643661.790000001</v>
      </c>
      <c r="C35" s="19">
        <v>284888.65999999997</v>
      </c>
      <c r="D35" s="19">
        <v>546138.66</v>
      </c>
      <c r="E35" s="19">
        <v>375888.66</v>
      </c>
      <c r="F35" s="19">
        <v>354100.45</v>
      </c>
      <c r="G35" s="19">
        <v>340888.66</v>
      </c>
      <c r="H35" s="19">
        <v>268888.65999999997</v>
      </c>
      <c r="I35" s="19">
        <v>287888.65999999997</v>
      </c>
      <c r="J35" s="19">
        <v>287888.65999999997</v>
      </c>
      <c r="K35" s="19">
        <v>282089.65999999997</v>
      </c>
      <c r="L35" s="19">
        <v>202667.66</v>
      </c>
      <c r="M35" s="19">
        <v>193666.66</v>
      </c>
      <c r="N35" s="19">
        <v>218666.74</v>
      </c>
    </row>
    <row r="36" spans="1:14" ht="114" x14ac:dyDescent="0.25">
      <c r="A36" s="16" t="s">
        <v>46</v>
      </c>
      <c r="B36" s="17">
        <f t="shared" si="2"/>
        <v>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85.5" x14ac:dyDescent="0.25">
      <c r="A37" s="16" t="s">
        <v>47</v>
      </c>
      <c r="B37" s="17">
        <f t="shared" si="2"/>
        <v>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57" x14ac:dyDescent="0.25">
      <c r="A38" s="16" t="s">
        <v>48</v>
      </c>
      <c r="B38" s="17">
        <f t="shared" si="2"/>
        <v>2853661.79</v>
      </c>
      <c r="C38" s="17">
        <f>+C35-C39-C40</f>
        <v>219888.65999999997</v>
      </c>
      <c r="D38" s="17">
        <f t="shared" ref="D38:N38" si="6">+D35-D39-D40</f>
        <v>481138.66000000003</v>
      </c>
      <c r="E38" s="17">
        <f t="shared" si="6"/>
        <v>310888.65999999997</v>
      </c>
      <c r="F38" s="17">
        <f t="shared" si="6"/>
        <v>284100.45</v>
      </c>
      <c r="G38" s="17">
        <f t="shared" si="6"/>
        <v>270888.65999999997</v>
      </c>
      <c r="H38" s="17">
        <f t="shared" si="6"/>
        <v>203888.65999999997</v>
      </c>
      <c r="I38" s="17">
        <f t="shared" si="6"/>
        <v>222888.65999999997</v>
      </c>
      <c r="J38" s="17">
        <f t="shared" si="6"/>
        <v>222888.65999999997</v>
      </c>
      <c r="K38" s="17">
        <f t="shared" si="6"/>
        <v>217089.65999999997</v>
      </c>
      <c r="L38" s="17">
        <f t="shared" si="6"/>
        <v>137667.66</v>
      </c>
      <c r="M38" s="17">
        <f t="shared" si="6"/>
        <v>128666.66</v>
      </c>
      <c r="N38" s="17">
        <f t="shared" si="6"/>
        <v>153666.74</v>
      </c>
    </row>
    <row r="39" spans="1:14" ht="28.5" x14ac:dyDescent="0.25">
      <c r="A39" s="16" t="s">
        <v>49</v>
      </c>
      <c r="B39" s="17">
        <f t="shared" si="2"/>
        <v>610000</v>
      </c>
      <c r="C39" s="17">
        <v>50000</v>
      </c>
      <c r="D39" s="17">
        <v>50000</v>
      </c>
      <c r="E39" s="17">
        <v>50000</v>
      </c>
      <c r="F39" s="17">
        <v>55000</v>
      </c>
      <c r="G39" s="17">
        <v>55000</v>
      </c>
      <c r="H39" s="17">
        <v>50000</v>
      </c>
      <c r="I39" s="17">
        <v>50000</v>
      </c>
      <c r="J39" s="17">
        <v>50000</v>
      </c>
      <c r="K39" s="17">
        <v>50000</v>
      </c>
      <c r="L39" s="17">
        <v>50000</v>
      </c>
      <c r="M39" s="17">
        <v>50000</v>
      </c>
      <c r="N39" s="17">
        <v>50000</v>
      </c>
    </row>
    <row r="40" spans="1:14" ht="57" x14ac:dyDescent="0.25">
      <c r="A40" s="16" t="s">
        <v>50</v>
      </c>
      <c r="B40" s="17">
        <f t="shared" si="2"/>
        <v>180000</v>
      </c>
      <c r="C40" s="17">
        <v>15000</v>
      </c>
      <c r="D40" s="17">
        <v>15000</v>
      </c>
      <c r="E40" s="17">
        <v>15000</v>
      </c>
      <c r="F40" s="17">
        <v>15000</v>
      </c>
      <c r="G40" s="17">
        <v>15000</v>
      </c>
      <c r="H40" s="17">
        <v>15000</v>
      </c>
      <c r="I40" s="17">
        <v>15000</v>
      </c>
      <c r="J40" s="17">
        <v>15000</v>
      </c>
      <c r="K40" s="17">
        <v>15000</v>
      </c>
      <c r="L40" s="17">
        <v>15000</v>
      </c>
      <c r="M40" s="17">
        <v>15000</v>
      </c>
      <c r="N40" s="17">
        <v>15000</v>
      </c>
    </row>
    <row r="41" spans="1:14" ht="128.25" x14ac:dyDescent="0.25">
      <c r="A41" s="16" t="s">
        <v>51</v>
      </c>
      <c r="B41" s="17">
        <f t="shared" si="2"/>
        <v>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85.5" x14ac:dyDescent="0.25">
      <c r="A42" s="16" t="s">
        <v>52</v>
      </c>
      <c r="B42" s="17">
        <f t="shared" si="2"/>
        <v>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8.5" x14ac:dyDescent="0.25">
      <c r="A43" s="16" t="s">
        <v>53</v>
      </c>
      <c r="B43" s="17">
        <f t="shared" si="2"/>
        <v>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57" x14ac:dyDescent="0.25">
      <c r="A44" s="16" t="s">
        <v>54</v>
      </c>
      <c r="B44" s="17">
        <f t="shared" si="2"/>
        <v>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05" x14ac:dyDescent="0.25">
      <c r="A45" s="18" t="s">
        <v>55</v>
      </c>
      <c r="B45" s="19">
        <f t="shared" si="2"/>
        <v>2033146.72</v>
      </c>
      <c r="C45" s="19">
        <v>55000</v>
      </c>
      <c r="D45" s="19">
        <v>520470</v>
      </c>
      <c r="E45" s="19">
        <v>203700</v>
      </c>
      <c r="F45" s="19">
        <v>538476.72</v>
      </c>
      <c r="G45" s="19">
        <v>10500</v>
      </c>
      <c r="H45" s="19">
        <v>15000</v>
      </c>
      <c r="I45" s="19">
        <v>600000</v>
      </c>
      <c r="J45" s="19">
        <v>60000</v>
      </c>
      <c r="K45" s="19">
        <v>10000</v>
      </c>
      <c r="L45" s="19">
        <v>10000</v>
      </c>
      <c r="M45" s="19">
        <v>5000</v>
      </c>
      <c r="N45" s="19">
        <v>5000</v>
      </c>
    </row>
    <row r="46" spans="1:14" ht="85.5" x14ac:dyDescent="0.25">
      <c r="A46" s="16" t="s">
        <v>56</v>
      </c>
      <c r="B46" s="17">
        <f t="shared" si="2"/>
        <v>759570</v>
      </c>
      <c r="C46" s="17">
        <f>+C45-SUM(C47:C55)</f>
        <v>54000</v>
      </c>
      <c r="D46" s="17">
        <f t="shared" ref="D46:N46" si="7">+D45-SUM(D47:D55)</f>
        <v>490070</v>
      </c>
      <c r="E46" s="17">
        <f t="shared" si="7"/>
        <v>70500</v>
      </c>
      <c r="F46" s="17">
        <f t="shared" si="7"/>
        <v>82000</v>
      </c>
      <c r="G46" s="17">
        <f t="shared" si="7"/>
        <v>8000</v>
      </c>
      <c r="H46" s="17">
        <f t="shared" si="7"/>
        <v>5000</v>
      </c>
      <c r="I46" s="17">
        <f t="shared" si="7"/>
        <v>0</v>
      </c>
      <c r="J46" s="17">
        <f t="shared" si="7"/>
        <v>50000</v>
      </c>
      <c r="K46" s="17">
        <f t="shared" si="7"/>
        <v>0</v>
      </c>
      <c r="L46" s="17">
        <f t="shared" si="7"/>
        <v>0</v>
      </c>
      <c r="M46" s="17">
        <f t="shared" si="7"/>
        <v>0</v>
      </c>
      <c r="N46" s="17">
        <f t="shared" si="7"/>
        <v>0</v>
      </c>
    </row>
    <row r="47" spans="1:14" ht="99.75" x14ac:dyDescent="0.25">
      <c r="A47" s="16" t="s">
        <v>57</v>
      </c>
      <c r="B47" s="17">
        <f t="shared" si="2"/>
        <v>0</v>
      </c>
      <c r="C47" s="17">
        <v>0</v>
      </c>
      <c r="D47" s="17">
        <v>0</v>
      </c>
      <c r="E47" s="17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</row>
    <row r="48" spans="1:14" ht="99.75" x14ac:dyDescent="0.25">
      <c r="A48" s="16" t="s">
        <v>58</v>
      </c>
      <c r="B48" s="17">
        <f t="shared" si="2"/>
        <v>93900</v>
      </c>
      <c r="C48" s="17">
        <v>0</v>
      </c>
      <c r="D48" s="17">
        <f>5600+18300</f>
        <v>23900</v>
      </c>
      <c r="E48" s="17">
        <v>10000</v>
      </c>
      <c r="F48" s="17">
        <v>10000</v>
      </c>
      <c r="G48" s="17">
        <v>0</v>
      </c>
      <c r="H48" s="17">
        <v>10000</v>
      </c>
      <c r="I48" s="17">
        <v>0</v>
      </c>
      <c r="J48" s="17">
        <v>10000</v>
      </c>
      <c r="K48" s="17">
        <v>10000</v>
      </c>
      <c r="L48" s="17">
        <v>10000</v>
      </c>
      <c r="M48" s="17">
        <v>5000</v>
      </c>
      <c r="N48" s="17">
        <v>5000</v>
      </c>
    </row>
    <row r="49" spans="1:14" x14ac:dyDescent="0.25">
      <c r="A49" s="16"/>
      <c r="B49" s="17">
        <f t="shared" si="2"/>
        <v>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85.5" x14ac:dyDescent="0.25">
      <c r="A50" s="16" t="s">
        <v>59</v>
      </c>
      <c r="B50" s="17">
        <f t="shared" si="2"/>
        <v>100000</v>
      </c>
      <c r="C50" s="17">
        <v>0</v>
      </c>
      <c r="D50" s="17">
        <v>0</v>
      </c>
      <c r="E50" s="17">
        <v>100000</v>
      </c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85.5" x14ac:dyDescent="0.25">
      <c r="A51" s="16" t="s">
        <v>60</v>
      </c>
      <c r="B51" s="17">
        <f t="shared" si="2"/>
        <v>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99.75" x14ac:dyDescent="0.25">
      <c r="A52" s="16" t="s">
        <v>61</v>
      </c>
      <c r="B52" s="17">
        <f t="shared" si="2"/>
        <v>25700</v>
      </c>
      <c r="C52" s="17">
        <v>1000</v>
      </c>
      <c r="D52" s="17">
        <v>6500</v>
      </c>
      <c r="E52" s="17">
        <f>7000+6200</f>
        <v>13200</v>
      </c>
      <c r="F52" s="17">
        <v>2500</v>
      </c>
      <c r="G52" s="17">
        <v>2500</v>
      </c>
      <c r="H52" s="17"/>
      <c r="I52" s="17"/>
      <c r="J52" s="17"/>
      <c r="K52" s="17"/>
      <c r="L52" s="17"/>
      <c r="M52" s="17"/>
      <c r="N52" s="17"/>
    </row>
    <row r="53" spans="1:14" ht="42.75" x14ac:dyDescent="0.25">
      <c r="A53" s="16" t="s">
        <v>62</v>
      </c>
      <c r="B53" s="17">
        <f t="shared" si="2"/>
        <v>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42.75" x14ac:dyDescent="0.25">
      <c r="A54" s="16" t="s">
        <v>63</v>
      </c>
      <c r="B54" s="17">
        <f t="shared" si="2"/>
        <v>1043976.72</v>
      </c>
      <c r="C54" s="17">
        <v>0</v>
      </c>
      <c r="D54" s="17">
        <v>0</v>
      </c>
      <c r="E54" s="17">
        <v>0</v>
      </c>
      <c r="F54" s="17">
        <v>443976.72</v>
      </c>
      <c r="G54" s="17">
        <v>0</v>
      </c>
      <c r="H54" s="17">
        <v>0</v>
      </c>
      <c r="I54" s="17">
        <v>600000</v>
      </c>
      <c r="J54" s="17"/>
      <c r="K54" s="17"/>
      <c r="L54" s="17"/>
      <c r="M54" s="17"/>
      <c r="N54" s="17"/>
    </row>
    <row r="55" spans="1:14" ht="42.75" x14ac:dyDescent="0.25">
      <c r="A55" s="16" t="s">
        <v>64</v>
      </c>
      <c r="B55" s="17">
        <f t="shared" si="2"/>
        <v>10000</v>
      </c>
      <c r="C55" s="17"/>
      <c r="D55" s="17"/>
      <c r="E55" s="17">
        <v>10000</v>
      </c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45" x14ac:dyDescent="0.25">
      <c r="A56" s="18" t="s">
        <v>65</v>
      </c>
      <c r="B56" s="19">
        <f t="shared" si="2"/>
        <v>18423596</v>
      </c>
      <c r="C56" s="19">
        <f>+C57</f>
        <v>0</v>
      </c>
      <c r="D56" s="19">
        <f t="shared" ref="D56:N56" si="8">+D57</f>
        <v>12937489</v>
      </c>
      <c r="E56" s="19">
        <f t="shared" si="8"/>
        <v>0</v>
      </c>
      <c r="F56" s="19">
        <f t="shared" si="8"/>
        <v>5486107</v>
      </c>
      <c r="G56" s="19">
        <f t="shared" si="8"/>
        <v>0</v>
      </c>
      <c r="H56" s="19">
        <f t="shared" si="8"/>
        <v>0</v>
      </c>
      <c r="I56" s="19">
        <f t="shared" si="8"/>
        <v>0</v>
      </c>
      <c r="J56" s="19">
        <f t="shared" si="8"/>
        <v>0</v>
      </c>
      <c r="K56" s="19">
        <f t="shared" si="8"/>
        <v>0</v>
      </c>
      <c r="L56" s="19">
        <f t="shared" si="8"/>
        <v>0</v>
      </c>
      <c r="M56" s="19">
        <f t="shared" si="8"/>
        <v>0</v>
      </c>
      <c r="N56" s="19">
        <f t="shared" si="8"/>
        <v>0</v>
      </c>
    </row>
    <row r="57" spans="1:14" ht="99.75" x14ac:dyDescent="0.25">
      <c r="A57" s="16" t="s">
        <v>66</v>
      </c>
      <c r="B57" s="17">
        <f t="shared" si="2"/>
        <v>18423596</v>
      </c>
      <c r="C57" s="17">
        <v>0</v>
      </c>
      <c r="D57" s="17">
        <v>12937489</v>
      </c>
      <c r="E57" s="17">
        <v>0</v>
      </c>
      <c r="F57" s="17">
        <v>5486107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ht="71.25" x14ac:dyDescent="0.25">
      <c r="A58" s="16" t="s">
        <v>67</v>
      </c>
      <c r="B58" s="17">
        <f t="shared" si="2"/>
        <v>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14" x14ac:dyDescent="0.25">
      <c r="A59" s="16" t="s">
        <v>68</v>
      </c>
      <c r="B59" s="17">
        <f t="shared" si="2"/>
        <v>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99.75" x14ac:dyDescent="0.25">
      <c r="A60" s="16" t="s">
        <v>69</v>
      </c>
      <c r="B60" s="17">
        <f t="shared" si="2"/>
        <v>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8.25" x14ac:dyDescent="0.25">
      <c r="A61" s="16" t="s">
        <v>70</v>
      </c>
      <c r="B61" s="17">
        <f t="shared" si="2"/>
        <v>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85.5" x14ac:dyDescent="0.25">
      <c r="A62" s="16" t="s">
        <v>71</v>
      </c>
      <c r="B62" s="17">
        <f t="shared" si="2"/>
        <v>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57" x14ac:dyDescent="0.25">
      <c r="A63" s="16" t="s">
        <v>72</v>
      </c>
      <c r="B63" s="17">
        <f t="shared" si="2"/>
        <v>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57" x14ac:dyDescent="0.25">
      <c r="A64" s="16" t="s">
        <v>73</v>
      </c>
      <c r="B64" s="17">
        <f t="shared" si="2"/>
        <v>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8.25" x14ac:dyDescent="0.25">
      <c r="A65" s="16" t="s">
        <v>74</v>
      </c>
      <c r="B65" s="17">
        <f t="shared" si="2"/>
        <v>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71.25" x14ac:dyDescent="0.25">
      <c r="A66" s="16" t="s">
        <v>75</v>
      </c>
      <c r="B66" s="17">
        <f t="shared" si="2"/>
        <v>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8.25" x14ac:dyDescent="0.25">
      <c r="A67" s="16" t="s">
        <v>76</v>
      </c>
      <c r="B67" s="17">
        <f t="shared" si="2"/>
        <v>0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57" x14ac:dyDescent="0.25">
      <c r="A68" s="16" t="s">
        <v>77</v>
      </c>
      <c r="B68" s="17">
        <f t="shared" si="2"/>
        <v>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28.5" x14ac:dyDescent="0.25">
      <c r="A69" s="16" t="s">
        <v>78</v>
      </c>
      <c r="B69" s="17">
        <f t="shared" si="2"/>
        <v>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28.5" x14ac:dyDescent="0.25">
      <c r="A70" s="16" t="s">
        <v>79</v>
      </c>
      <c r="B70" s="17">
        <f t="shared" si="2"/>
        <v>0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28.5" x14ac:dyDescent="0.25">
      <c r="A71" s="16" t="s">
        <v>80</v>
      </c>
      <c r="B71" s="17">
        <f t="shared" si="2"/>
        <v>0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30" x14ac:dyDescent="0.25">
      <c r="A72" s="18" t="s">
        <v>81</v>
      </c>
      <c r="B72" s="19">
        <f t="shared" si="2"/>
        <v>1000000</v>
      </c>
      <c r="C72" s="19">
        <f>+C79</f>
        <v>200000</v>
      </c>
      <c r="D72" s="19">
        <f t="shared" ref="D72:N72" si="9">+D79</f>
        <v>300000</v>
      </c>
      <c r="E72" s="19">
        <f t="shared" si="9"/>
        <v>200000</v>
      </c>
      <c r="F72" s="19">
        <f t="shared" si="9"/>
        <v>100000</v>
      </c>
      <c r="G72" s="19">
        <f t="shared" si="9"/>
        <v>100000</v>
      </c>
      <c r="H72" s="19">
        <f t="shared" si="9"/>
        <v>100000</v>
      </c>
      <c r="I72" s="19">
        <f t="shared" si="9"/>
        <v>0</v>
      </c>
      <c r="J72" s="19">
        <f t="shared" si="9"/>
        <v>0</v>
      </c>
      <c r="K72" s="19">
        <f t="shared" si="9"/>
        <v>0</v>
      </c>
      <c r="L72" s="19">
        <f t="shared" si="9"/>
        <v>0</v>
      </c>
      <c r="M72" s="19">
        <f t="shared" si="9"/>
        <v>0</v>
      </c>
      <c r="N72" s="19">
        <f t="shared" si="9"/>
        <v>0</v>
      </c>
    </row>
    <row r="73" spans="1:14" ht="71.25" x14ac:dyDescent="0.25">
      <c r="A73" s="16" t="s">
        <v>82</v>
      </c>
      <c r="B73" s="17">
        <f t="shared" ref="B73:B79" si="10">SUM(C73:N73)</f>
        <v>0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57" x14ac:dyDescent="0.25">
      <c r="A74" s="16" t="s">
        <v>83</v>
      </c>
      <c r="B74" s="17">
        <f t="shared" si="10"/>
        <v>0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71.25" x14ac:dyDescent="0.25">
      <c r="A75" s="16" t="s">
        <v>84</v>
      </c>
      <c r="B75" s="17">
        <f t="shared" si="10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57" x14ac:dyDescent="0.25">
      <c r="A76" s="16" t="s">
        <v>85</v>
      </c>
      <c r="B76" s="17">
        <f t="shared" si="10"/>
        <v>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57" x14ac:dyDescent="0.25">
      <c r="A77" s="16" t="s">
        <v>86</v>
      </c>
      <c r="B77" s="17">
        <f t="shared" si="10"/>
        <v>0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42.75" x14ac:dyDescent="0.25">
      <c r="A78" s="16" t="s">
        <v>87</v>
      </c>
      <c r="B78" s="17">
        <f t="shared" si="10"/>
        <v>0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9" thickBot="1" x14ac:dyDescent="0.3">
      <c r="A79" s="20" t="s">
        <v>88</v>
      </c>
      <c r="B79" s="17">
        <f t="shared" si="10"/>
        <v>1000000</v>
      </c>
      <c r="C79" s="21">
        <v>200000</v>
      </c>
      <c r="D79" s="21">
        <v>300000</v>
      </c>
      <c r="E79" s="21">
        <v>200000</v>
      </c>
      <c r="F79" s="21">
        <v>100000</v>
      </c>
      <c r="G79" s="21">
        <v>100000</v>
      </c>
      <c r="H79" s="21">
        <v>100000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</row>
  </sheetData>
  <mergeCells count="3">
    <mergeCell ref="A1:N1"/>
    <mergeCell ref="A2:N2"/>
    <mergeCell ref="A3:N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Jimenez</dc:creator>
  <cp:lastModifiedBy>Daniel Jimenez</cp:lastModifiedBy>
  <dcterms:created xsi:type="dcterms:W3CDTF">2015-06-05T18:19:34Z</dcterms:created>
  <dcterms:modified xsi:type="dcterms:W3CDTF">2022-04-26T02:48:47Z</dcterms:modified>
</cp:coreProperties>
</file>